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обоча папка\тарифи\коригування тарифу 2026 рік\"/>
    </mc:Choice>
  </mc:AlternateContent>
  <bookViews>
    <workbookView xWindow="-108" yWindow="-108" windowWidth="23256" windowHeight="12456"/>
  </bookViews>
  <sheets>
    <sheet name="калькуляція тарифу" sheetId="1" r:id="rId1"/>
    <sheet name="порівняльна таблиця" sheetId="2" r:id="rId2"/>
  </sheets>
  <externalReferences>
    <externalReference r:id="rId3"/>
  </externalReferenc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2" l="1"/>
  <c r="D23" i="2" l="1"/>
  <c r="B24" i="2" l="1"/>
  <c r="D24" i="2" l="1"/>
  <c r="D6" i="2"/>
  <c r="D44" i="2" l="1"/>
  <c r="D43" i="2"/>
  <c r="D42" i="2"/>
  <c r="D22" i="2" l="1"/>
  <c r="D21" i="2"/>
  <c r="F8" i="1" l="1"/>
  <c r="D5" i="2" l="1"/>
  <c r="D4" i="2"/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5" i="1"/>
  <c r="I26" i="1"/>
  <c r="I28" i="1"/>
  <c r="I29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5" i="1"/>
  <c r="G26" i="1"/>
  <c r="G28" i="1"/>
  <c r="G29" i="1"/>
  <c r="G8" i="1"/>
  <c r="E20" i="1"/>
  <c r="E9" i="1"/>
  <c r="H4" i="1"/>
  <c r="F4" i="1"/>
  <c r="E10" i="1" l="1"/>
  <c r="E11" i="1"/>
  <c r="E12" i="1"/>
  <c r="E15" i="1"/>
  <c r="E16" i="1"/>
  <c r="E17" i="1"/>
  <c r="E18" i="1"/>
  <c r="E19" i="1"/>
  <c r="E21" i="1"/>
  <c r="F23" i="1"/>
  <c r="G23" i="1" s="1"/>
  <c r="I23" i="1"/>
  <c r="F24" i="1"/>
  <c r="G24" i="1" s="1"/>
  <c r="H24" i="1"/>
  <c r="I24" i="1" s="1"/>
  <c r="E25" i="1"/>
  <c r="E29" i="1"/>
  <c r="E26" i="1" l="1"/>
  <c r="E13" i="1"/>
  <c r="E28" i="1"/>
  <c r="E14" i="1"/>
  <c r="F22" i="1"/>
  <c r="G22" i="1" s="1"/>
  <c r="E24" i="1"/>
  <c r="H22" i="1"/>
  <c r="I22" i="1" s="1"/>
  <c r="H8" i="1"/>
  <c r="I8" i="1" s="1"/>
  <c r="E23" i="1"/>
  <c r="F27" i="1" l="1"/>
  <c r="G27" i="1" s="1"/>
  <c r="E22" i="1"/>
  <c r="E8" i="1"/>
  <c r="H27" i="1"/>
  <c r="I27" i="1" s="1"/>
  <c r="F30" i="1" l="1"/>
  <c r="G30" i="1" s="1"/>
  <c r="H30" i="1"/>
  <c r="I30" i="1" s="1"/>
  <c r="E27" i="1"/>
  <c r="J30" i="1" l="1"/>
  <c r="E30" i="1"/>
  <c r="K30" i="1"/>
  <c r="J26" i="1" l="1"/>
  <c r="F36" i="1"/>
  <c r="F34" i="1"/>
  <c r="F31" i="1" s="1"/>
  <c r="M32" i="1"/>
  <c r="F35" i="1"/>
  <c r="M33" i="1"/>
  <c r="M31" i="1"/>
  <c r="M34" i="1" s="1"/>
  <c r="M35" i="1" s="1"/>
  <c r="M36" i="1" s="1"/>
  <c r="J27" i="1"/>
  <c r="J28" i="1"/>
  <c r="N32" i="1"/>
  <c r="N33" i="1"/>
  <c r="H36" i="1"/>
  <c r="N31" i="1"/>
  <c r="H35" i="1"/>
  <c r="H34" i="1"/>
  <c r="F32" i="1" l="1"/>
  <c r="F33" i="1"/>
  <c r="E35" i="1"/>
  <c r="E34" i="1"/>
  <c r="E36" i="1"/>
  <c r="N34" i="1"/>
  <c r="N35" i="1" s="1"/>
  <c r="N36" i="1" s="1"/>
  <c r="H32" i="1"/>
  <c r="E32" i="1" s="1"/>
  <c r="H31" i="1"/>
  <c r="E31" i="1" s="1"/>
  <c r="H33" i="1"/>
  <c r="E33" i="1" s="1"/>
</calcChain>
</file>

<file path=xl/sharedStrings.xml><?xml version="1.0" encoding="utf-8"?>
<sst xmlns="http://schemas.openxmlformats.org/spreadsheetml/2006/main" count="106" uniqueCount="84">
  <si>
    <t>Уляна МІСЬКІВ</t>
  </si>
  <si>
    <t xml:space="preserve">Заступник директора по фінансах </t>
  </si>
  <si>
    <t>Володимир ЛЕСЬКІВ</t>
  </si>
  <si>
    <t>Директор МКП "ЖКУ"</t>
  </si>
  <si>
    <t>податок</t>
  </si>
  <si>
    <t>Тариф без ПДВ для інших споживачів</t>
  </si>
  <si>
    <t>інв.склад.</t>
  </si>
  <si>
    <t>Тариф без ПДВ для бюджетних організацій</t>
  </si>
  <si>
    <t>всього</t>
  </si>
  <si>
    <t>Тариф без ПДВ для населення</t>
  </si>
  <si>
    <t>Тариф для мешканців приватного сектору Миколаївської ТГ(крім м.Миколаїв)</t>
  </si>
  <si>
    <t>Тариф для мешканців приватного сектору м. Миколаєва</t>
  </si>
  <si>
    <t>2022р.</t>
  </si>
  <si>
    <t>Тариф для мешканців багатоповерхівки</t>
  </si>
  <si>
    <t>з-ахорон.</t>
  </si>
  <si>
    <t>вив-я</t>
  </si>
  <si>
    <t>Повна собівартість</t>
  </si>
  <si>
    <t>прибуток</t>
  </si>
  <si>
    <t>Витрати на збут</t>
  </si>
  <si>
    <t>села</t>
  </si>
  <si>
    <t>Адміністративні витрати</t>
  </si>
  <si>
    <t>мешканці приватного сектора</t>
  </si>
  <si>
    <t>Виробнича собівартість</t>
  </si>
  <si>
    <t>мешканці багатоповерхівки</t>
  </si>
  <si>
    <t>Загальновиробничі витрати</t>
  </si>
  <si>
    <t>Проведення планових перевірок стану грунту і атмосферного повітря на сміттєзвалищі</t>
  </si>
  <si>
    <t>МШП</t>
  </si>
  <si>
    <t>Послуги сторонніх організацій</t>
  </si>
  <si>
    <t xml:space="preserve">Інші прямі матеріальні витрати </t>
  </si>
  <si>
    <t>Перешарування на полігоні</t>
  </si>
  <si>
    <t>Витрати на електроенергію на полігоні</t>
  </si>
  <si>
    <t>Обслуговування контейнерних майданчиків</t>
  </si>
  <si>
    <t>Обслуговування контейнерів</t>
  </si>
  <si>
    <t>Збір за забруднення навколишнього середовища</t>
  </si>
  <si>
    <t>% банку за сплату послуг</t>
  </si>
  <si>
    <t>Єдиний соціальний внесок</t>
  </si>
  <si>
    <t>Заробітна  плата основних працівників</t>
  </si>
  <si>
    <t>Витрати на шини</t>
  </si>
  <si>
    <t>Витрати на акумулятори</t>
  </si>
  <si>
    <t>Технічне обслуговування  та ремонт  транспорту</t>
  </si>
  <si>
    <t>Паливно мастильні матеріали</t>
  </si>
  <si>
    <t>інші споживачі, в т.ч. бюджетні організації(норма)</t>
  </si>
  <si>
    <t>інші споживачі, в т.ч. бюджетні організації(факт)</t>
  </si>
  <si>
    <t>житловий фонд</t>
  </si>
  <si>
    <t>Планові об"єми накопичення, м³, в тч:</t>
  </si>
  <si>
    <t>Стаття витрат</t>
  </si>
  <si>
    <t>Збирання та перевезення ПВ(сума ,грн)</t>
  </si>
  <si>
    <t>Збирання та перевезення ПВ(грн/м3)</t>
  </si>
  <si>
    <t>Видалення ПВ (сума, грн.)</t>
  </si>
  <si>
    <t>Видалення ПВ (грн./м3)</t>
  </si>
  <si>
    <t>Прямі витрати</t>
  </si>
  <si>
    <t>Витрати інтернет на полігоні</t>
  </si>
  <si>
    <t xml:space="preserve">Економіст </t>
  </si>
  <si>
    <t>Ірина ФОРОСТИНА</t>
  </si>
  <si>
    <t>2026 р.</t>
  </si>
  <si>
    <t>2025р.</t>
  </si>
  <si>
    <t>грн. без ПДВ</t>
  </si>
  <si>
    <t>Закладено у діючому тарифі</t>
  </si>
  <si>
    <t>Збільшення (ріст)</t>
  </si>
  <si>
    <t>%</t>
  </si>
  <si>
    <t>Тариф за 1 кВт/год. Електроенергії (Вільні ціни, ВЦ КП5 / 1 (2клас) - сміттєзвалище</t>
  </si>
  <si>
    <t>Тариф за 1 кВт/год. Електроенергії (Універсальна послуга, юридичні особи (2 клас) - контора</t>
  </si>
  <si>
    <t>Пально-мастильні матеріали, вартість 1л дизельного палива</t>
  </si>
  <si>
    <t>Всього витрат,грн</t>
  </si>
  <si>
    <t>Складові собівартості тарифів на управління побутовими відходами, що змінились:</t>
  </si>
  <si>
    <t xml:space="preserve">                    Порівняльна таблиця складових витрат, що змінили вартість</t>
  </si>
  <si>
    <t xml:space="preserve">    Економіст МКП "ЖКУ"                                                   Ірина ФОРОСТИНА</t>
  </si>
  <si>
    <t>Вартість Електроенергії (Вільні ціни, ВЦ КП5 / 1 (2клас) - сміттєзвалище</t>
  </si>
  <si>
    <t>Вартість Електроенергії (Універсальна послуга, юридичні особи (2 клас) - контора</t>
  </si>
  <si>
    <t>Вартість Пально-мастильних матеріалів, дизельного палива</t>
  </si>
  <si>
    <t>Збирання та перевезення ПВ</t>
  </si>
  <si>
    <t>Видалення ПВ D1</t>
  </si>
  <si>
    <t xml:space="preserve"> Структура витрат коригування тарифу на операції із збирання, перевезення та видалення побутових відходів (змішаних) для усіх споживачів Миколаївської ТГ</t>
  </si>
  <si>
    <t>Індекс зміни цін індивідуальної складової витрат (за якими здійснилися зміни) розраховується за такою формулою:</t>
  </si>
  <si>
    <r>
      <t>де k</t>
    </r>
    <r>
      <rPr>
        <vertAlign val="subscript"/>
        <sz val="14"/>
        <color theme="1"/>
        <rFont val="Times New Roman"/>
        <family val="1"/>
        <charset val="204"/>
      </rPr>
      <t>j</t>
    </r>
    <r>
      <rPr>
        <sz val="14"/>
        <color theme="1"/>
        <rFont val="Times New Roman"/>
        <family val="1"/>
        <charset val="204"/>
      </rPr>
      <t> — індекс зміни цін індивідуальної складової витрат;</t>
    </r>
  </si>
  <si>
    <r>
      <t>Ц</t>
    </r>
    <r>
      <rPr>
        <vertAlign val="subscript"/>
        <sz val="14"/>
        <color theme="1"/>
        <rFont val="Times New Roman"/>
        <family val="1"/>
        <charset val="204"/>
      </rPr>
      <t>j</t>
    </r>
    <r>
      <rPr>
        <sz val="14"/>
        <color theme="1"/>
        <rFont val="Times New Roman"/>
        <family val="1"/>
        <charset val="204"/>
      </rPr>
      <t>нов — нова підтверджена ціна одиниці j-го ресурсу;</t>
    </r>
  </si>
  <si>
    <r>
      <t>Ц</t>
    </r>
    <r>
      <rPr>
        <vertAlign val="subscript"/>
        <sz val="14"/>
        <color theme="1"/>
        <rFont val="Times New Roman"/>
        <family val="1"/>
        <charset val="204"/>
      </rPr>
      <t>j</t>
    </r>
    <r>
      <rPr>
        <sz val="14"/>
        <color theme="1"/>
        <rFont val="Times New Roman"/>
        <family val="1"/>
        <charset val="204"/>
      </rPr>
      <t> — ціна одиниці j-го ресурсу, врахована під час формування тарифів, які потребують коригування.</t>
    </r>
  </si>
  <si>
    <r>
      <t>Індекс зміни цін, k</t>
    </r>
    <r>
      <rPr>
        <b/>
        <i/>
        <vertAlign val="subscript"/>
        <sz val="13"/>
        <color theme="1"/>
        <rFont val="Times New Roman"/>
        <family val="1"/>
        <charset val="204"/>
      </rPr>
      <t>j</t>
    </r>
  </si>
  <si>
    <t xml:space="preserve">                    Порівняльна таблиця планових витрат</t>
  </si>
  <si>
    <t>Адмінвитрати</t>
  </si>
  <si>
    <t>Повна собіварсть</t>
  </si>
  <si>
    <t>Послуги сторонніх організацій (прогортання ПВ на сміттєзвалищі)</t>
  </si>
  <si>
    <t>Факт станом на 01.03.2026 року</t>
  </si>
  <si>
    <t>Вартість Електроенергії (Універсальна послуга, юридичні особи (2 клас) - 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</si>
</sst>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vertAlign val="subscript"/>
      <sz val="14"/>
      <color theme="1"/>
      <name val="Times New Roman"/>
      <family val="1"/>
      <charset val="204"/>
    </font>
    <font>
      <b/>
      <i/>
      <vertAlign val="subscript"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4" fontId="0" fillId="0" borderId="0" xfId="0" applyNumberFormat="1"/>
    <xf numFmtId="0" fontId="3" fillId="0" borderId="0" xfId="0" applyFont="1" applyBorder="1" applyAlignment="1">
      <alignment wrapText="1"/>
    </xf>
    <xf numFmtId="0" fontId="4" fillId="0" borderId="0" xfId="0" applyFont="1"/>
    <xf numFmtId="0" fontId="4" fillId="0" borderId="3" xfId="0" applyFont="1" applyBorder="1"/>
    <xf numFmtId="0" fontId="4" fillId="0" borderId="1" xfId="0" applyFont="1" applyBorder="1"/>
    <xf numFmtId="4" fontId="4" fillId="3" borderId="1" xfId="0" applyNumberFormat="1" applyFont="1" applyFill="1" applyBorder="1"/>
    <xf numFmtId="2" fontId="4" fillId="0" borderId="3" xfId="0" applyNumberFormat="1" applyFont="1" applyBorder="1"/>
    <xf numFmtId="4" fontId="1" fillId="0" borderId="1" xfId="0" applyNumberFormat="1" applyFont="1" applyBorder="1"/>
    <xf numFmtId="2" fontId="1" fillId="0" borderId="3" xfId="0" applyNumberFormat="1" applyFont="1" applyBorder="1"/>
    <xf numFmtId="4" fontId="4" fillId="0" borderId="1" xfId="0" applyNumberFormat="1" applyFont="1" applyBorder="1"/>
    <xf numFmtId="4" fontId="4" fillId="3" borderId="1" xfId="0" applyNumberFormat="1" applyFont="1" applyFill="1" applyBorder="1" applyAlignment="1">
      <alignment horizontal="center" vertical="center"/>
    </xf>
    <xf numFmtId="2" fontId="4" fillId="0" borderId="0" xfId="0" applyNumberFormat="1" applyFont="1"/>
    <xf numFmtId="0" fontId="4" fillId="2" borderId="0" xfId="0" applyFont="1" applyFill="1"/>
    <xf numFmtId="0" fontId="6" fillId="0" borderId="0" xfId="0" applyFont="1"/>
    <xf numFmtId="0" fontId="1" fillId="2" borderId="0" xfId="0" applyFont="1" applyFill="1"/>
    <xf numFmtId="9" fontId="4" fillId="2" borderId="0" xfId="0" applyNumberFormat="1" applyFont="1" applyFill="1"/>
    <xf numFmtId="0" fontId="6" fillId="0" borderId="0" xfId="0" applyFont="1" applyAlignment="1">
      <alignment wrapText="1"/>
    </xf>
    <xf numFmtId="4" fontId="4" fillId="0" borderId="0" xfId="0" applyNumberFormat="1" applyFont="1"/>
    <xf numFmtId="2" fontId="6" fillId="0" borderId="0" xfId="0" applyNumberFormat="1" applyFont="1"/>
    <xf numFmtId="0" fontId="4" fillId="3" borderId="3" xfId="0" applyFont="1" applyFill="1" applyBorder="1"/>
    <xf numFmtId="0" fontId="4" fillId="3" borderId="2" xfId="0" applyFont="1" applyFill="1" applyBorder="1"/>
    <xf numFmtId="0" fontId="4" fillId="3" borderId="1" xfId="0" applyFont="1" applyFill="1" applyBorder="1"/>
    <xf numFmtId="4" fontId="4" fillId="3" borderId="5" xfId="0" applyNumberFormat="1" applyFont="1" applyFill="1" applyBorder="1"/>
    <xf numFmtId="4" fontId="4" fillId="0" borderId="5" xfId="0" applyNumberFormat="1" applyFont="1" applyBorder="1"/>
    <xf numFmtId="0" fontId="4" fillId="0" borderId="6" xfId="0" applyFont="1" applyBorder="1"/>
    <xf numFmtId="4" fontId="4" fillId="4" borderId="1" xfId="0" applyNumberFormat="1" applyFont="1" applyFill="1" applyBorder="1"/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/>
    </xf>
    <xf numFmtId="2" fontId="7" fillId="0" borderId="1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2" fontId="7" fillId="0" borderId="5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center" vertical="center" wrapText="1"/>
    </xf>
    <xf numFmtId="4" fontId="1" fillId="3" borderId="1" xfId="0" applyNumberFormat="1" applyFont="1" applyFill="1" applyBorder="1"/>
    <xf numFmtId="0" fontId="4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9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horizontal="justify" vertical="center"/>
    </xf>
    <xf numFmtId="2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 wrapText="1"/>
    </xf>
    <xf numFmtId="2" fontId="8" fillId="0" borderId="5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2" fontId="8" fillId="0" borderId="6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right"/>
    </xf>
    <xf numFmtId="4" fontId="4" fillId="3" borderId="1" xfId="0" applyNumberFormat="1" applyFont="1" applyFill="1" applyBorder="1" applyAlignment="1">
      <alignment horizontal="right"/>
    </xf>
    <xf numFmtId="4" fontId="4" fillId="0" borderId="3" xfId="0" applyNumberFormat="1" applyFont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right" vertical="center"/>
    </xf>
    <xf numFmtId="2" fontId="7" fillId="0" borderId="10" xfId="0" applyNumberFormat="1" applyFont="1" applyBorder="1" applyAlignment="1">
      <alignment horizontal="right" vertical="center"/>
    </xf>
    <xf numFmtId="2" fontId="7" fillId="0" borderId="11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4" fillId="3" borderId="2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0" fillId="0" borderId="3" xfId="0" applyBorder="1" applyAlignment="1"/>
    <xf numFmtId="0" fontId="9" fillId="0" borderId="0" xfId="0" applyFont="1" applyBorder="1" applyAlignment="1">
      <alignment horizontal="center" vertical="center" wrapText="1"/>
    </xf>
    <xf numFmtId="0" fontId="0" fillId="0" borderId="0" xfId="0" applyBorder="1" applyAlignment="1"/>
    <xf numFmtId="0" fontId="13" fillId="0" borderId="0" xfId="0" applyFont="1" applyAlignment="1">
      <alignment horizontal="justify" vertical="center"/>
    </xf>
    <xf numFmtId="0" fontId="0" fillId="0" borderId="0" xfId="0" applyAlignment="1"/>
    <xf numFmtId="164" fontId="7" fillId="0" borderId="5" xfId="0" applyNumberFormat="1" applyFont="1" applyBorder="1" applyAlignment="1">
      <alignment horizontal="right" vertic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22860</xdr:colOff>
          <xdr:row>8</xdr:row>
          <xdr:rowOff>502920</xdr:rowOff>
        </xdr:from>
        <xdr:to>
          <xdr:col>2</xdr:col>
          <xdr:colOff>205740</xdr:colOff>
          <xdr:row>10</xdr:row>
          <xdr:rowOff>167640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8;&#1086;&#1073;&#1086;&#1095;&#1072;%20&#1087;&#1072;&#1087;&#1082;&#1072;/&#1090;&#1072;&#1088;&#1080;&#1092;&#1080;/&#1058;&#1072;&#1088;&#1080;&#1092;%202026/&#1088;&#1086;&#1079;&#1088;&#1072;&#1093;&#1091;&#1085;&#1082;&#1080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ічний план"/>
      <sheetName val="калькуляція тарифу"/>
      <sheetName val="обслуговування контейнерів"/>
      <sheetName val="ПММ"/>
      <sheetName val="Прямі матеріальні витрати"/>
      <sheetName val="витрати на ТО та ремонт"/>
      <sheetName val="Витрати на акумулятори"/>
      <sheetName val="Витрати на шини"/>
      <sheetName val="МШП захоронення"/>
      <sheetName val="МШП вивезення"/>
      <sheetName val="Перешарування"/>
      <sheetName val="забруднення навк. сер-ща"/>
      <sheetName val="електроенергія"/>
      <sheetName val="Послуги сторонніх організацій"/>
      <sheetName val="Загальновиробничі витрати"/>
      <sheetName val="Адмінвитрати"/>
      <sheetName val="Заробітна плата основних праців"/>
    </sheetNames>
    <sheetDataSet>
      <sheetData sheetId="0"/>
      <sheetData sheetId="1"/>
      <sheetData sheetId="2">
        <row r="6">
          <cell r="B6">
            <v>86442.2</v>
          </cell>
        </row>
      </sheetData>
      <sheetData sheetId="3">
        <row r="25">
          <cell r="E25">
            <v>972647.03113720007</v>
          </cell>
        </row>
      </sheetData>
      <sheetData sheetId="4">
        <row r="5">
          <cell r="H5">
            <v>7000</v>
          </cell>
        </row>
      </sheetData>
      <sheetData sheetId="5">
        <row r="15">
          <cell r="G15">
            <v>193460.14641887997</v>
          </cell>
        </row>
      </sheetData>
      <sheetData sheetId="6"/>
      <sheetData sheetId="7"/>
      <sheetData sheetId="8">
        <row r="11">
          <cell r="G11">
            <v>16892</v>
          </cell>
        </row>
      </sheetData>
      <sheetData sheetId="9">
        <row r="13">
          <cell r="G13">
            <v>46865</v>
          </cell>
        </row>
      </sheetData>
      <sheetData sheetId="10">
        <row r="4">
          <cell r="B4">
            <v>1111304</v>
          </cell>
        </row>
      </sheetData>
      <sheetData sheetId="11">
        <row r="3">
          <cell r="B3">
            <v>140462.19</v>
          </cell>
        </row>
      </sheetData>
      <sheetData sheetId="12">
        <row r="3">
          <cell r="B3">
            <v>71565.200000000012</v>
          </cell>
        </row>
      </sheetData>
      <sheetData sheetId="13">
        <row r="7">
          <cell r="B7">
            <v>1856400</v>
          </cell>
        </row>
      </sheetData>
      <sheetData sheetId="14">
        <row r="20">
          <cell r="C20">
            <v>475725.38219999993</v>
          </cell>
        </row>
      </sheetData>
      <sheetData sheetId="15">
        <row r="34">
          <cell r="D34">
            <v>1645609.9511315837</v>
          </cell>
        </row>
      </sheetData>
      <sheetData sheetId="16">
        <row r="9">
          <cell r="J9">
            <v>610249.52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topLeftCell="A19" workbookViewId="0">
      <selection activeCell="F27" sqref="F27"/>
    </sheetView>
  </sheetViews>
  <sheetFormatPr defaultRowHeight="14.4" x14ac:dyDescent="0.3"/>
  <cols>
    <col min="4" max="4" width="23.21875" customWidth="1"/>
    <col min="5" max="5" width="12.6640625" customWidth="1"/>
    <col min="6" max="7" width="13.109375" style="1" customWidth="1"/>
    <col min="8" max="8" width="13.5546875" style="1" customWidth="1"/>
    <col min="9" max="10" width="12.88671875" style="1" customWidth="1"/>
    <col min="12" max="12" width="10.6640625" customWidth="1"/>
    <col min="13" max="13" width="7.88671875" customWidth="1"/>
  </cols>
  <sheetData>
    <row r="1" spans="1:15" ht="63.75" customHeight="1" x14ac:dyDescent="0.35">
      <c r="A1" s="73" t="s">
        <v>72</v>
      </c>
      <c r="B1" s="74"/>
      <c r="C1" s="74"/>
      <c r="D1" s="74"/>
      <c r="E1" s="74"/>
      <c r="F1" s="74"/>
      <c r="G1" s="74"/>
      <c r="H1" s="74"/>
      <c r="I1" s="75"/>
      <c r="J1" s="2"/>
      <c r="K1" s="3"/>
      <c r="L1" s="3"/>
      <c r="M1" s="3"/>
      <c r="N1" s="3"/>
      <c r="O1" s="3"/>
    </row>
    <row r="2" spans="1:15" ht="63.75" customHeight="1" x14ac:dyDescent="0.35">
      <c r="A2" s="79" t="s">
        <v>45</v>
      </c>
      <c r="B2" s="80"/>
      <c r="C2" s="80"/>
      <c r="D2" s="80"/>
      <c r="E2" s="76" t="s">
        <v>63</v>
      </c>
      <c r="F2" s="76" t="s">
        <v>70</v>
      </c>
      <c r="G2" s="77"/>
      <c r="H2" s="76" t="s">
        <v>71</v>
      </c>
      <c r="I2" s="78"/>
      <c r="J2" s="2"/>
      <c r="K2" s="3"/>
      <c r="L2" s="3"/>
      <c r="M2" s="3"/>
      <c r="N2" s="3"/>
      <c r="O2" s="3"/>
    </row>
    <row r="3" spans="1:15" ht="54.75" customHeight="1" x14ac:dyDescent="0.3">
      <c r="A3" s="81"/>
      <c r="B3" s="80"/>
      <c r="C3" s="80"/>
      <c r="D3" s="80"/>
      <c r="E3" s="82"/>
      <c r="F3" s="54" t="s">
        <v>46</v>
      </c>
      <c r="G3" s="54" t="s">
        <v>47</v>
      </c>
      <c r="H3" s="54" t="s">
        <v>48</v>
      </c>
      <c r="I3" s="57" t="s">
        <v>49</v>
      </c>
      <c r="J3" s="3"/>
      <c r="K3" s="3"/>
      <c r="L3" s="3"/>
      <c r="M3" s="3"/>
      <c r="N3" s="3"/>
      <c r="O3" s="3"/>
    </row>
    <row r="4" spans="1:15" x14ac:dyDescent="0.3">
      <c r="A4" s="44" t="s">
        <v>44</v>
      </c>
      <c r="B4" s="43"/>
      <c r="C4" s="43"/>
      <c r="D4" s="45"/>
      <c r="E4" s="5"/>
      <c r="F4" s="42">
        <f>SUM(F5:F7)</f>
        <v>42000</v>
      </c>
      <c r="G4" s="42"/>
      <c r="H4" s="42">
        <f>SUM(H5:H7)</f>
        <v>51999.999999999993</v>
      </c>
      <c r="I4" s="4"/>
      <c r="J4" s="3"/>
      <c r="K4" s="3"/>
      <c r="L4" s="3"/>
      <c r="M4" s="3"/>
      <c r="N4" s="3"/>
      <c r="O4" s="3"/>
    </row>
    <row r="5" spans="1:15" x14ac:dyDescent="0.3">
      <c r="A5" s="63" t="s">
        <v>43</v>
      </c>
      <c r="B5" s="64"/>
      <c r="C5" s="64"/>
      <c r="D5" s="64"/>
      <c r="E5" s="5"/>
      <c r="F5" s="6">
        <v>28217.78</v>
      </c>
      <c r="G5" s="6"/>
      <c r="H5" s="6">
        <v>28217.78</v>
      </c>
      <c r="I5" s="4"/>
      <c r="J5" s="3"/>
      <c r="K5" s="3"/>
      <c r="L5" s="3"/>
      <c r="M5" s="3"/>
      <c r="N5" s="3"/>
      <c r="O5" s="3"/>
    </row>
    <row r="6" spans="1:15" x14ac:dyDescent="0.3">
      <c r="A6" s="63" t="s">
        <v>42</v>
      </c>
      <c r="B6" s="64"/>
      <c r="C6" s="64"/>
      <c r="D6" s="64"/>
      <c r="E6" s="5"/>
      <c r="F6" s="6">
        <v>9746.26</v>
      </c>
      <c r="G6" s="6"/>
      <c r="H6" s="6">
        <v>19746.259999999998</v>
      </c>
      <c r="I6" s="4"/>
      <c r="J6" s="3"/>
      <c r="K6" s="3"/>
      <c r="L6" s="3"/>
      <c r="M6" s="3"/>
      <c r="N6" s="3"/>
      <c r="O6" s="3"/>
    </row>
    <row r="7" spans="1:15" x14ac:dyDescent="0.3">
      <c r="A7" s="63" t="s">
        <v>41</v>
      </c>
      <c r="B7" s="64"/>
      <c r="C7" s="64"/>
      <c r="D7" s="64"/>
      <c r="E7" s="5"/>
      <c r="F7" s="6">
        <v>4035.96</v>
      </c>
      <c r="G7" s="6"/>
      <c r="H7" s="6">
        <v>4035.96</v>
      </c>
      <c r="I7" s="7"/>
      <c r="J7" s="3"/>
      <c r="K7" s="3"/>
      <c r="L7" s="3"/>
      <c r="M7" s="3"/>
      <c r="N7" s="3"/>
      <c r="O7" s="3"/>
    </row>
    <row r="8" spans="1:15" x14ac:dyDescent="0.3">
      <c r="A8" s="69" t="s">
        <v>50</v>
      </c>
      <c r="B8" s="70"/>
      <c r="C8" s="70"/>
      <c r="D8" s="70"/>
      <c r="E8" s="8">
        <f t="shared" ref="E8:E33" si="0">F8+H8</f>
        <v>6945327.5999999996</v>
      </c>
      <c r="F8" s="8">
        <f>SUM(F9:F21)</f>
        <v>4762512.91</v>
      </c>
      <c r="G8" s="8">
        <f>F8/42000</f>
        <v>113.39316452380953</v>
      </c>
      <c r="H8" s="8">
        <f>SUM(H9:H21)</f>
        <v>2182814.69</v>
      </c>
      <c r="I8" s="9">
        <f>H8/52000</f>
        <v>41.977205576923076</v>
      </c>
      <c r="J8" s="3"/>
      <c r="K8" s="3"/>
      <c r="L8" s="3"/>
      <c r="M8" s="3"/>
      <c r="N8" s="3"/>
      <c r="O8" s="3"/>
    </row>
    <row r="9" spans="1:15" x14ac:dyDescent="0.3">
      <c r="A9" s="63" t="s">
        <v>40</v>
      </c>
      <c r="B9" s="64"/>
      <c r="C9" s="64"/>
      <c r="D9" s="64"/>
      <c r="E9" s="10">
        <f>F9+H9</f>
        <v>1581113.06</v>
      </c>
      <c r="F9" s="26">
        <v>1581113.06</v>
      </c>
      <c r="G9" s="8">
        <f t="shared" ref="G9:G30" si="1">F9/42000</f>
        <v>37.645549047619049</v>
      </c>
      <c r="H9" s="10"/>
      <c r="I9" s="9">
        <f t="shared" ref="I9:I30" si="2">H9/52000</f>
        <v>0</v>
      </c>
      <c r="J9" s="3"/>
      <c r="K9" s="3"/>
      <c r="L9" s="3"/>
      <c r="M9" s="3"/>
      <c r="N9" s="3"/>
      <c r="O9" s="3"/>
    </row>
    <row r="10" spans="1:15" ht="27.75" customHeight="1" x14ac:dyDescent="0.3">
      <c r="A10" s="67" t="s">
        <v>39</v>
      </c>
      <c r="B10" s="68"/>
      <c r="C10" s="68"/>
      <c r="D10" s="68"/>
      <c r="E10" s="10">
        <f t="shared" si="0"/>
        <v>205880.05</v>
      </c>
      <c r="F10" s="6">
        <v>205880.05</v>
      </c>
      <c r="G10" s="8">
        <f t="shared" si="1"/>
        <v>4.9019059523809521</v>
      </c>
      <c r="H10" s="10"/>
      <c r="I10" s="9">
        <f t="shared" si="2"/>
        <v>0</v>
      </c>
      <c r="J10" s="3"/>
      <c r="K10" s="3"/>
      <c r="L10" s="3"/>
      <c r="M10" s="3"/>
      <c r="N10" s="3"/>
      <c r="O10" s="3"/>
    </row>
    <row r="11" spans="1:15" x14ac:dyDescent="0.3">
      <c r="A11" s="63" t="s">
        <v>38</v>
      </c>
      <c r="B11" s="64"/>
      <c r="C11" s="64"/>
      <c r="D11" s="64"/>
      <c r="E11" s="10">
        <f t="shared" si="0"/>
        <v>10391</v>
      </c>
      <c r="F11" s="6">
        <v>10391</v>
      </c>
      <c r="G11" s="8">
        <f t="shared" si="1"/>
        <v>0.24740476190476191</v>
      </c>
      <c r="H11" s="10"/>
      <c r="I11" s="9">
        <f t="shared" si="2"/>
        <v>0</v>
      </c>
      <c r="J11" s="3"/>
      <c r="K11" s="3"/>
      <c r="L11" s="3"/>
      <c r="M11" s="3"/>
      <c r="N11" s="3"/>
      <c r="O11" s="3"/>
    </row>
    <row r="12" spans="1:15" x14ac:dyDescent="0.3">
      <c r="A12" s="63" t="s">
        <v>37</v>
      </c>
      <c r="B12" s="64"/>
      <c r="C12" s="64"/>
      <c r="D12" s="64"/>
      <c r="E12" s="10">
        <f t="shared" si="0"/>
        <v>48763.29</v>
      </c>
      <c r="F12" s="6">
        <v>48763.29</v>
      </c>
      <c r="G12" s="8">
        <f t="shared" si="1"/>
        <v>1.1610307142857144</v>
      </c>
      <c r="H12" s="6"/>
      <c r="I12" s="9">
        <f t="shared" si="2"/>
        <v>0</v>
      </c>
      <c r="J12" s="3"/>
      <c r="K12" s="3"/>
      <c r="L12" s="3"/>
      <c r="M12" s="3"/>
      <c r="N12" s="3"/>
      <c r="O12" s="3"/>
    </row>
    <row r="13" spans="1:15" x14ac:dyDescent="0.3">
      <c r="A13" s="63" t="s">
        <v>36</v>
      </c>
      <c r="B13" s="64"/>
      <c r="C13" s="64"/>
      <c r="D13" s="64"/>
      <c r="E13" s="10">
        <f t="shared" si="0"/>
        <v>2933178.39</v>
      </c>
      <c r="F13" s="6">
        <v>2262468.2200000002</v>
      </c>
      <c r="G13" s="8">
        <f t="shared" si="1"/>
        <v>53.86829095238096</v>
      </c>
      <c r="H13" s="6">
        <v>670710.17000000004</v>
      </c>
      <c r="I13" s="9">
        <f t="shared" si="2"/>
        <v>12.898272500000001</v>
      </c>
      <c r="J13" s="3"/>
      <c r="K13" s="3"/>
      <c r="L13" s="3"/>
      <c r="M13" s="3"/>
      <c r="N13" s="3"/>
      <c r="O13" s="3"/>
    </row>
    <row r="14" spans="1:15" x14ac:dyDescent="0.3">
      <c r="A14" s="63" t="s">
        <v>35</v>
      </c>
      <c r="B14" s="64"/>
      <c r="C14" s="64"/>
      <c r="D14" s="64"/>
      <c r="E14" s="10">
        <f t="shared" si="0"/>
        <v>645299.25</v>
      </c>
      <c r="F14" s="6">
        <v>497743.01</v>
      </c>
      <c r="G14" s="8">
        <f t="shared" si="1"/>
        <v>11.851024047619047</v>
      </c>
      <c r="H14" s="6">
        <v>147556.24</v>
      </c>
      <c r="I14" s="9">
        <f t="shared" si="2"/>
        <v>2.8376199999999998</v>
      </c>
      <c r="J14" s="3"/>
      <c r="K14" s="3"/>
      <c r="L14" s="3"/>
      <c r="M14" s="3"/>
      <c r="N14" s="3"/>
      <c r="O14" s="3"/>
    </row>
    <row r="15" spans="1:15" x14ac:dyDescent="0.3">
      <c r="A15" s="63" t="s">
        <v>34</v>
      </c>
      <c r="B15" s="64"/>
      <c r="C15" s="64"/>
      <c r="D15" s="64"/>
      <c r="E15" s="10">
        <f t="shared" si="0"/>
        <v>110000</v>
      </c>
      <c r="F15" s="55">
        <v>55000</v>
      </c>
      <c r="G15" s="8">
        <f t="shared" si="1"/>
        <v>1.3095238095238095</v>
      </c>
      <c r="H15" s="55">
        <v>55000</v>
      </c>
      <c r="I15" s="9">
        <f t="shared" si="2"/>
        <v>1.0576923076923077</v>
      </c>
      <c r="J15" s="3"/>
      <c r="K15" s="3"/>
      <c r="L15" s="3"/>
      <c r="M15" s="3"/>
      <c r="N15" s="3"/>
      <c r="O15" s="3"/>
    </row>
    <row r="16" spans="1:15" ht="28.5" customHeight="1" x14ac:dyDescent="0.3">
      <c r="A16" s="67" t="s">
        <v>33</v>
      </c>
      <c r="B16" s="68"/>
      <c r="C16" s="68"/>
      <c r="D16" s="68"/>
      <c r="E16" s="10">
        <f t="shared" si="0"/>
        <v>137811.96</v>
      </c>
      <c r="F16" s="11"/>
      <c r="G16" s="8">
        <f t="shared" si="1"/>
        <v>0</v>
      </c>
      <c r="H16" s="56">
        <v>137811.96</v>
      </c>
      <c r="I16" s="9">
        <f t="shared" si="2"/>
        <v>2.6502299999999996</v>
      </c>
      <c r="J16" s="3"/>
      <c r="K16" s="3"/>
      <c r="L16" s="3"/>
      <c r="M16" s="3"/>
      <c r="N16" s="3"/>
      <c r="O16" s="3"/>
    </row>
    <row r="17" spans="1:15" x14ac:dyDescent="0.3">
      <c r="A17" s="63" t="s">
        <v>32</v>
      </c>
      <c r="B17" s="64"/>
      <c r="C17" s="64"/>
      <c r="D17" s="64"/>
      <c r="E17" s="10">
        <f t="shared" si="0"/>
        <v>89908.78</v>
      </c>
      <c r="F17" s="6">
        <v>89908.78</v>
      </c>
      <c r="G17" s="8">
        <f t="shared" si="1"/>
        <v>2.1406852380952381</v>
      </c>
      <c r="H17" s="10"/>
      <c r="I17" s="9">
        <f t="shared" si="2"/>
        <v>0</v>
      </c>
      <c r="J17" s="3"/>
      <c r="K17" s="3"/>
      <c r="L17" s="3"/>
      <c r="M17" s="3"/>
      <c r="N17" s="3"/>
      <c r="O17" s="3"/>
    </row>
    <row r="18" spans="1:15" ht="17.25" customHeight="1" x14ac:dyDescent="0.3">
      <c r="A18" s="67" t="s">
        <v>31</v>
      </c>
      <c r="B18" s="68"/>
      <c r="C18" s="68"/>
      <c r="D18" s="68"/>
      <c r="E18" s="10">
        <f t="shared" si="0"/>
        <v>11245.5</v>
      </c>
      <c r="F18" s="6">
        <v>11245.5</v>
      </c>
      <c r="G18" s="8">
        <f t="shared" si="1"/>
        <v>0.26774999999999999</v>
      </c>
      <c r="H18" s="10"/>
      <c r="I18" s="9">
        <f t="shared" si="2"/>
        <v>0</v>
      </c>
      <c r="J18" s="3"/>
      <c r="K18" s="3"/>
      <c r="L18" s="3"/>
      <c r="M18" s="3"/>
      <c r="N18" s="3"/>
      <c r="O18" s="3"/>
    </row>
    <row r="19" spans="1:15" x14ac:dyDescent="0.3">
      <c r="A19" s="63" t="s">
        <v>30</v>
      </c>
      <c r="B19" s="64"/>
      <c r="C19" s="64"/>
      <c r="D19" s="64"/>
      <c r="E19" s="10">
        <f t="shared" si="0"/>
        <v>107736.32000000001</v>
      </c>
      <c r="F19" s="6"/>
      <c r="G19" s="8">
        <f t="shared" si="1"/>
        <v>0</v>
      </c>
      <c r="H19" s="26">
        <v>107736.32000000001</v>
      </c>
      <c r="I19" s="9">
        <f t="shared" si="2"/>
        <v>2.0718523076923079</v>
      </c>
      <c r="J19" s="3"/>
      <c r="K19" s="3"/>
      <c r="L19" s="3"/>
      <c r="M19" s="3"/>
      <c r="N19" s="3"/>
      <c r="O19" s="3"/>
    </row>
    <row r="20" spans="1:15" x14ac:dyDescent="0.3">
      <c r="A20" s="63" t="s">
        <v>51</v>
      </c>
      <c r="B20" s="64"/>
      <c r="C20" s="64"/>
      <c r="D20" s="64"/>
      <c r="E20" s="10">
        <f t="shared" si="0"/>
        <v>4000</v>
      </c>
      <c r="F20" s="6"/>
      <c r="G20" s="8">
        <f t="shared" si="1"/>
        <v>0</v>
      </c>
      <c r="H20" s="6">
        <v>4000</v>
      </c>
      <c r="I20" s="9">
        <f t="shared" si="2"/>
        <v>7.6923076923076927E-2</v>
      </c>
      <c r="J20" s="3"/>
      <c r="K20" s="3"/>
      <c r="L20" s="3"/>
      <c r="M20" s="3"/>
      <c r="N20" s="3"/>
      <c r="O20" s="3"/>
    </row>
    <row r="21" spans="1:15" x14ac:dyDescent="0.3">
      <c r="A21" s="63" t="s">
        <v>29</v>
      </c>
      <c r="B21" s="64"/>
      <c r="C21" s="64"/>
      <c r="D21" s="64"/>
      <c r="E21" s="10">
        <f t="shared" si="0"/>
        <v>1060000</v>
      </c>
      <c r="F21" s="10"/>
      <c r="G21" s="8">
        <f t="shared" si="1"/>
        <v>0</v>
      </c>
      <c r="H21" s="6">
        <v>1060000</v>
      </c>
      <c r="I21" s="9">
        <f t="shared" si="2"/>
        <v>20.384615384615383</v>
      </c>
      <c r="J21" s="3"/>
      <c r="K21" s="3"/>
      <c r="L21" s="3"/>
      <c r="M21" s="3"/>
      <c r="N21" s="3"/>
      <c r="O21" s="3"/>
    </row>
    <row r="22" spans="1:15" ht="16.5" customHeight="1" x14ac:dyDescent="0.3">
      <c r="A22" s="69" t="s">
        <v>28</v>
      </c>
      <c r="B22" s="70"/>
      <c r="C22" s="70"/>
      <c r="D22" s="70"/>
      <c r="E22" s="8">
        <f t="shared" si="0"/>
        <v>2202432</v>
      </c>
      <c r="F22" s="8">
        <f>F23+F24</f>
        <v>46865</v>
      </c>
      <c r="G22" s="8">
        <f t="shared" si="1"/>
        <v>1.1158333333333332</v>
      </c>
      <c r="H22" s="42">
        <f>SUM(H23:H25)</f>
        <v>2155567</v>
      </c>
      <c r="I22" s="9">
        <f t="shared" si="2"/>
        <v>41.453211538461538</v>
      </c>
      <c r="J22" s="3"/>
      <c r="K22" s="3"/>
      <c r="L22" s="3"/>
      <c r="M22" s="3"/>
      <c r="N22" s="3"/>
      <c r="O22" s="3"/>
    </row>
    <row r="23" spans="1:15" x14ac:dyDescent="0.3">
      <c r="A23" s="63" t="s">
        <v>27</v>
      </c>
      <c r="B23" s="64"/>
      <c r="C23" s="64"/>
      <c r="D23" s="64"/>
      <c r="E23" s="10">
        <f t="shared" si="0"/>
        <v>2129400</v>
      </c>
      <c r="F23" s="10">
        <f>'[1]Послуги сторонніх організацій'!B21</f>
        <v>0</v>
      </c>
      <c r="G23" s="8">
        <f t="shared" si="1"/>
        <v>0</v>
      </c>
      <c r="H23" s="26">
        <v>2129400</v>
      </c>
      <c r="I23" s="9">
        <f t="shared" si="2"/>
        <v>40.950000000000003</v>
      </c>
      <c r="J23" s="3"/>
      <c r="K23" s="3"/>
      <c r="L23" s="3"/>
      <c r="M23" s="3"/>
      <c r="N23" s="3"/>
      <c r="O23" s="3"/>
    </row>
    <row r="24" spans="1:15" x14ac:dyDescent="0.3">
      <c r="A24" s="63" t="s">
        <v>26</v>
      </c>
      <c r="B24" s="64"/>
      <c r="C24" s="64"/>
      <c r="D24" s="64"/>
      <c r="E24" s="10">
        <f t="shared" si="0"/>
        <v>63757</v>
      </c>
      <c r="F24" s="6">
        <f>'[1]МШП вивезення'!G13</f>
        <v>46865</v>
      </c>
      <c r="G24" s="8">
        <f t="shared" si="1"/>
        <v>1.1158333333333332</v>
      </c>
      <c r="H24" s="6">
        <f>'[1]МШП захоронення'!G11</f>
        <v>16892</v>
      </c>
      <c r="I24" s="9">
        <f t="shared" si="2"/>
        <v>0.32484615384615384</v>
      </c>
      <c r="J24" s="3"/>
      <c r="K24" s="3"/>
      <c r="L24" s="3"/>
      <c r="M24" s="3"/>
      <c r="N24" s="3"/>
      <c r="O24" s="3"/>
    </row>
    <row r="25" spans="1:15" ht="27.75" customHeight="1" x14ac:dyDescent="0.3">
      <c r="A25" s="67" t="s">
        <v>25</v>
      </c>
      <c r="B25" s="68"/>
      <c r="C25" s="68"/>
      <c r="D25" s="68"/>
      <c r="E25" s="10">
        <f t="shared" si="0"/>
        <v>9275</v>
      </c>
      <c r="F25" s="6"/>
      <c r="G25" s="8">
        <f t="shared" si="1"/>
        <v>0</v>
      </c>
      <c r="H25" s="6">
        <v>9275</v>
      </c>
      <c r="I25" s="9">
        <f t="shared" si="2"/>
        <v>0.17836538461538462</v>
      </c>
      <c r="J25" s="3"/>
      <c r="K25" s="3"/>
      <c r="L25" s="3"/>
      <c r="M25" s="3"/>
      <c r="N25" s="3"/>
      <c r="O25" s="3"/>
    </row>
    <row r="26" spans="1:15" x14ac:dyDescent="0.3">
      <c r="A26" s="69" t="s">
        <v>24</v>
      </c>
      <c r="B26" s="70"/>
      <c r="C26" s="70"/>
      <c r="D26" s="70"/>
      <c r="E26" s="8">
        <f t="shared" si="0"/>
        <v>866079.1399999999</v>
      </c>
      <c r="F26" s="42">
        <v>615290.43999999994</v>
      </c>
      <c r="G26" s="8">
        <f t="shared" si="1"/>
        <v>14.649772380952379</v>
      </c>
      <c r="H26" s="42">
        <v>250788.7</v>
      </c>
      <c r="I26" s="9">
        <f t="shared" si="2"/>
        <v>4.8228596153846155</v>
      </c>
      <c r="J26" s="12">
        <f>(J30+K30)*1.2*1.8/12</f>
        <v>54.23415861098902</v>
      </c>
      <c r="K26" s="3" t="s">
        <v>23</v>
      </c>
      <c r="L26" s="3"/>
      <c r="M26" s="3"/>
      <c r="N26" s="3"/>
      <c r="O26" s="3"/>
    </row>
    <row r="27" spans="1:15" x14ac:dyDescent="0.3">
      <c r="A27" s="69" t="s">
        <v>22</v>
      </c>
      <c r="B27" s="70"/>
      <c r="C27" s="70"/>
      <c r="D27" s="70"/>
      <c r="E27" s="8">
        <f t="shared" si="0"/>
        <v>10013838.74</v>
      </c>
      <c r="F27" s="8">
        <f>F26+F8+F22</f>
        <v>5424668.3499999996</v>
      </c>
      <c r="G27" s="8">
        <f t="shared" si="1"/>
        <v>129.15877023809523</v>
      </c>
      <c r="H27" s="8">
        <f>H26+H8+H22</f>
        <v>4589170.3900000006</v>
      </c>
      <c r="I27" s="9">
        <f t="shared" si="2"/>
        <v>88.253276730769244</v>
      </c>
      <c r="J27" s="12">
        <f>(J30+K30)*1.2*1.85/12</f>
        <v>55.740663016849822</v>
      </c>
      <c r="K27" s="3" t="s">
        <v>21</v>
      </c>
      <c r="L27" s="3"/>
      <c r="M27" s="3"/>
      <c r="N27" s="3"/>
      <c r="O27" s="3"/>
    </row>
    <row r="28" spans="1:15" x14ac:dyDescent="0.3">
      <c r="A28" s="69" t="s">
        <v>20</v>
      </c>
      <c r="B28" s="70"/>
      <c r="C28" s="70"/>
      <c r="D28" s="70"/>
      <c r="E28" s="8">
        <f t="shared" si="0"/>
        <v>3863871.9</v>
      </c>
      <c r="F28" s="8">
        <v>2093059.41</v>
      </c>
      <c r="G28" s="8">
        <f t="shared" si="1"/>
        <v>49.834747857142858</v>
      </c>
      <c r="H28" s="8">
        <v>1770812.49</v>
      </c>
      <c r="I28" s="9">
        <f t="shared" si="2"/>
        <v>34.054086346153845</v>
      </c>
      <c r="J28" s="12">
        <f>(J30+K30)*1.2*1.77/12</f>
        <v>53.330255967472532</v>
      </c>
      <c r="K28" s="3" t="s">
        <v>19</v>
      </c>
      <c r="L28" s="3"/>
      <c r="M28" s="3"/>
      <c r="N28" s="3"/>
      <c r="O28" s="3"/>
    </row>
    <row r="29" spans="1:15" x14ac:dyDescent="0.3">
      <c r="A29" s="63" t="s">
        <v>18</v>
      </c>
      <c r="B29" s="64"/>
      <c r="C29" s="64"/>
      <c r="D29" s="64"/>
      <c r="E29" s="10">
        <f t="shared" si="0"/>
        <v>0</v>
      </c>
      <c r="F29" s="10">
        <v>0</v>
      </c>
      <c r="G29" s="8">
        <f t="shared" si="1"/>
        <v>0</v>
      </c>
      <c r="H29" s="10">
        <v>0</v>
      </c>
      <c r="I29" s="9">
        <f t="shared" si="2"/>
        <v>0</v>
      </c>
      <c r="J29" s="3"/>
      <c r="K29" s="3"/>
      <c r="L29" s="3"/>
      <c r="M29" s="13" t="s">
        <v>17</v>
      </c>
      <c r="N29" s="13"/>
      <c r="O29" s="3"/>
    </row>
    <row r="30" spans="1:15" x14ac:dyDescent="0.3">
      <c r="A30" s="69" t="s">
        <v>16</v>
      </c>
      <c r="B30" s="70"/>
      <c r="C30" s="70"/>
      <c r="D30" s="70"/>
      <c r="E30" s="8">
        <f t="shared" si="0"/>
        <v>13877710.640000001</v>
      </c>
      <c r="F30" s="8">
        <f>F27+F28+F29</f>
        <v>7517727.7599999998</v>
      </c>
      <c r="G30" s="8">
        <f t="shared" si="1"/>
        <v>178.9935180952381</v>
      </c>
      <c r="H30" s="8">
        <f>H27+H28+H29</f>
        <v>6359982.8800000008</v>
      </c>
      <c r="I30" s="9">
        <f t="shared" si="2"/>
        <v>122.3073630769231</v>
      </c>
      <c r="J30" s="12">
        <f>F30/F4</f>
        <v>178.9935180952381</v>
      </c>
      <c r="K30" s="12">
        <f>H30/H4</f>
        <v>122.30736307692311</v>
      </c>
      <c r="L30" s="3" t="s">
        <v>54</v>
      </c>
      <c r="M30" s="13" t="s">
        <v>15</v>
      </c>
      <c r="N30" s="13" t="s">
        <v>14</v>
      </c>
      <c r="O30" s="3"/>
    </row>
    <row r="31" spans="1:15" ht="13.5" customHeight="1" x14ac:dyDescent="0.3">
      <c r="A31" s="65" t="s">
        <v>13</v>
      </c>
      <c r="B31" s="66"/>
      <c r="C31" s="66"/>
      <c r="D31" s="66"/>
      <c r="E31" s="6">
        <f t="shared" si="0"/>
        <v>45.195132175824185</v>
      </c>
      <c r="F31" s="6">
        <f>F34*1.8/12</f>
        <v>26.849027714285715</v>
      </c>
      <c r="G31" s="6"/>
      <c r="H31" s="6">
        <f>H34*1.8/12</f>
        <v>18.346104461538467</v>
      </c>
      <c r="I31" s="20"/>
      <c r="J31" s="19">
        <v>144</v>
      </c>
      <c r="K31" s="19">
        <v>112</v>
      </c>
      <c r="L31" s="14" t="s">
        <v>55</v>
      </c>
      <c r="M31" s="13">
        <f>J30*0*F5</f>
        <v>0</v>
      </c>
      <c r="N31" s="13">
        <f>K30*0*H7</f>
        <v>0</v>
      </c>
      <c r="O31" s="3"/>
    </row>
    <row r="32" spans="1:15" ht="13.5" customHeight="1" x14ac:dyDescent="0.3">
      <c r="A32" s="71" t="s">
        <v>11</v>
      </c>
      <c r="B32" s="72"/>
      <c r="C32" s="72"/>
      <c r="D32" s="72"/>
      <c r="E32" s="6">
        <f t="shared" si="0"/>
        <v>46.450552514041519</v>
      </c>
      <c r="F32" s="6">
        <f>F34*1.85/12</f>
        <v>27.594834039682542</v>
      </c>
      <c r="G32" s="6"/>
      <c r="H32" s="6">
        <f>H34*1.85/12</f>
        <v>18.85571847435898</v>
      </c>
      <c r="I32" s="20"/>
      <c r="J32" s="14">
        <v>128.47999999999999</v>
      </c>
      <c r="K32" s="14">
        <v>143.49</v>
      </c>
      <c r="L32" s="14" t="s">
        <v>12</v>
      </c>
      <c r="M32" s="13">
        <f>J30*0*F6</f>
        <v>0</v>
      </c>
      <c r="N32" s="13">
        <f>K30*0*H5</f>
        <v>0</v>
      </c>
      <c r="O32" s="3"/>
    </row>
    <row r="33" spans="1:15" ht="28.5" customHeight="1" x14ac:dyDescent="0.3">
      <c r="A33" s="71" t="s">
        <v>10</v>
      </c>
      <c r="B33" s="72"/>
      <c r="C33" s="72"/>
      <c r="D33" s="72"/>
      <c r="E33" s="6">
        <f t="shared" si="0"/>
        <v>44.44187997289378</v>
      </c>
      <c r="F33" s="6">
        <f>F34*1.77/12</f>
        <v>26.401543919047622</v>
      </c>
      <c r="G33" s="6"/>
      <c r="H33" s="6">
        <f>H34*1.77/12</f>
        <v>18.040336053846158</v>
      </c>
      <c r="I33" s="20"/>
      <c r="J33" s="3"/>
      <c r="K33" s="3"/>
      <c r="L33" s="3"/>
      <c r="M33" s="13">
        <f>J30*0*F7</f>
        <v>0</v>
      </c>
      <c r="N33" s="13">
        <f>K30*0*H6</f>
        <v>0</v>
      </c>
      <c r="O33" s="3"/>
    </row>
    <row r="34" spans="1:15" x14ac:dyDescent="0.3">
      <c r="A34" s="21" t="s">
        <v>9</v>
      </c>
      <c r="B34" s="22"/>
      <c r="C34" s="22"/>
      <c r="D34" s="22"/>
      <c r="E34" s="6">
        <f>F34+H34</f>
        <v>301.30088117216121</v>
      </c>
      <c r="F34" s="6">
        <f>J30</f>
        <v>178.9935180952381</v>
      </c>
      <c r="G34" s="6"/>
      <c r="H34" s="6">
        <f>K30</f>
        <v>122.30736307692311</v>
      </c>
      <c r="I34" s="20"/>
      <c r="J34" s="3"/>
      <c r="K34" s="13"/>
      <c r="L34" s="13" t="s">
        <v>8</v>
      </c>
      <c r="M34" s="15">
        <f>SUM(M31:M33)</f>
        <v>0</v>
      </c>
      <c r="N34" s="15">
        <f>SUM(N31:N33)</f>
        <v>0</v>
      </c>
      <c r="O34" s="3"/>
    </row>
    <row r="35" spans="1:15" ht="18" customHeight="1" x14ac:dyDescent="0.3">
      <c r="A35" s="67" t="s">
        <v>7</v>
      </c>
      <c r="B35" s="68"/>
      <c r="C35" s="68"/>
      <c r="D35" s="68"/>
      <c r="E35" s="6">
        <f t="shared" ref="E35:E36" si="3">F35+H35</f>
        <v>301.30088117216121</v>
      </c>
      <c r="F35" s="10">
        <f>J30</f>
        <v>178.9935180952381</v>
      </c>
      <c r="G35" s="10"/>
      <c r="H35" s="10">
        <f>K30</f>
        <v>122.30736307692311</v>
      </c>
      <c r="I35" s="4"/>
      <c r="J35" s="3"/>
      <c r="K35" s="13"/>
      <c r="L35" s="13" t="s">
        <v>6</v>
      </c>
      <c r="M35" s="13">
        <f>M34/1.18</f>
        <v>0</v>
      </c>
      <c r="N35" s="13">
        <f>N34/1.18</f>
        <v>0</v>
      </c>
      <c r="O35" s="3"/>
    </row>
    <row r="36" spans="1:15" ht="15" thickBot="1" x14ac:dyDescent="0.35">
      <c r="A36" s="61" t="s">
        <v>5</v>
      </c>
      <c r="B36" s="62"/>
      <c r="C36" s="62"/>
      <c r="D36" s="62"/>
      <c r="E36" s="23">
        <f t="shared" si="3"/>
        <v>301.30088117216121</v>
      </c>
      <c r="F36" s="24">
        <f>J30</f>
        <v>178.9935180952381</v>
      </c>
      <c r="G36" s="24"/>
      <c r="H36" s="24">
        <f>K30</f>
        <v>122.30736307692311</v>
      </c>
      <c r="I36" s="25"/>
      <c r="J36" s="3"/>
      <c r="K36" s="16">
        <v>0.18</v>
      </c>
      <c r="L36" s="13" t="s">
        <v>4</v>
      </c>
      <c r="M36" s="13">
        <f>M34-M35</f>
        <v>0</v>
      </c>
      <c r="N36" s="13">
        <f>N34-N35</f>
        <v>0</v>
      </c>
      <c r="O36" s="3"/>
    </row>
    <row r="37" spans="1:15" x14ac:dyDescent="0.3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3"/>
      <c r="L37" s="3"/>
      <c r="M37" s="3"/>
      <c r="N37" s="3"/>
      <c r="O37" s="3"/>
    </row>
    <row r="38" spans="1:15" x14ac:dyDescent="0.3">
      <c r="A38" s="3"/>
      <c r="B38" s="3"/>
      <c r="C38" s="3"/>
      <c r="D38" s="3"/>
      <c r="E38" s="3"/>
      <c r="F38" s="18"/>
      <c r="G38" s="18"/>
      <c r="H38" s="18"/>
      <c r="I38" s="18"/>
      <c r="J38" s="18"/>
      <c r="K38" s="3"/>
      <c r="L38" s="3"/>
      <c r="M38" s="3"/>
      <c r="N38" s="3"/>
      <c r="O38" s="3"/>
    </row>
    <row r="39" spans="1:15" x14ac:dyDescent="0.3">
      <c r="A39" s="3" t="s">
        <v>3</v>
      </c>
      <c r="B39" s="3"/>
      <c r="C39" s="3"/>
      <c r="D39" s="3"/>
      <c r="E39" s="3"/>
      <c r="F39" s="18" t="s">
        <v>2</v>
      </c>
      <c r="G39" s="18"/>
      <c r="H39" s="18"/>
      <c r="I39" s="18"/>
      <c r="J39" s="18"/>
      <c r="K39" s="3"/>
      <c r="L39" s="3"/>
      <c r="M39" s="3"/>
      <c r="N39" s="3"/>
      <c r="O39" s="3"/>
    </row>
    <row r="40" spans="1:15" x14ac:dyDescent="0.3">
      <c r="A40" s="3"/>
      <c r="B40" s="3"/>
      <c r="C40" s="3"/>
      <c r="D40" s="3"/>
      <c r="E40" s="3"/>
      <c r="F40" s="18"/>
      <c r="G40" s="18"/>
      <c r="H40" s="18"/>
      <c r="I40" s="18"/>
      <c r="J40" s="18"/>
      <c r="K40" s="3"/>
      <c r="L40" s="3"/>
      <c r="M40" s="3"/>
      <c r="N40" s="3"/>
      <c r="O40" s="3"/>
    </row>
    <row r="41" spans="1:15" x14ac:dyDescent="0.3">
      <c r="A41" s="3" t="s">
        <v>1</v>
      </c>
      <c r="B41" s="3"/>
      <c r="C41" s="3"/>
      <c r="D41" s="3"/>
      <c r="E41" s="3"/>
      <c r="F41" s="18" t="s">
        <v>0</v>
      </c>
      <c r="G41" s="18"/>
      <c r="H41" s="18"/>
      <c r="I41" s="18"/>
      <c r="J41" s="18"/>
      <c r="K41" s="3"/>
      <c r="L41" s="3"/>
      <c r="M41" s="3"/>
      <c r="N41" s="3"/>
      <c r="O41" s="3"/>
    </row>
    <row r="42" spans="1:15" x14ac:dyDescent="0.3">
      <c r="A42" s="3"/>
      <c r="B42" s="3"/>
      <c r="C42" s="3"/>
      <c r="D42" s="3"/>
      <c r="E42" s="3"/>
      <c r="F42" s="18"/>
      <c r="G42" s="18"/>
      <c r="H42" s="18"/>
      <c r="I42" s="18"/>
      <c r="J42" s="18"/>
      <c r="K42" s="3"/>
      <c r="L42" s="3"/>
      <c r="M42" s="3"/>
      <c r="N42" s="3"/>
      <c r="O42" s="3"/>
    </row>
    <row r="43" spans="1:15" x14ac:dyDescent="0.3">
      <c r="A43" s="3" t="s">
        <v>52</v>
      </c>
      <c r="B43" s="3"/>
      <c r="C43" s="3"/>
      <c r="D43" s="3"/>
      <c r="E43" s="3"/>
      <c r="F43" s="18" t="s">
        <v>53</v>
      </c>
      <c r="G43" s="18"/>
      <c r="H43" s="18"/>
      <c r="I43" s="18"/>
      <c r="J43" s="18"/>
      <c r="K43" s="3"/>
      <c r="L43" s="3"/>
      <c r="M43" s="3"/>
      <c r="N43" s="3"/>
      <c r="O43" s="3"/>
    </row>
    <row r="44" spans="1:15" x14ac:dyDescent="0.3">
      <c r="A44" s="3"/>
      <c r="B44" s="3"/>
      <c r="C44" s="3"/>
      <c r="D44" s="3"/>
      <c r="E44" s="3"/>
      <c r="F44" s="18"/>
      <c r="G44" s="18"/>
      <c r="H44" s="18"/>
      <c r="I44" s="18"/>
      <c r="J44" s="18"/>
      <c r="K44" s="3"/>
      <c r="L44" s="3"/>
      <c r="M44" s="3"/>
      <c r="N44" s="3"/>
      <c r="O44" s="3"/>
    </row>
  </sheetData>
  <mergeCells count="36">
    <mergeCell ref="A1:I1"/>
    <mergeCell ref="A18:D18"/>
    <mergeCell ref="A19:D19"/>
    <mergeCell ref="F2:G2"/>
    <mergeCell ref="H2:I2"/>
    <mergeCell ref="A2:D3"/>
    <mergeCell ref="E2:E3"/>
    <mergeCell ref="A8:D8"/>
    <mergeCell ref="A21:D21"/>
    <mergeCell ref="A22:D22"/>
    <mergeCell ref="A5:D5"/>
    <mergeCell ref="A6:D6"/>
    <mergeCell ref="A7:D7"/>
    <mergeCell ref="A15:D15"/>
    <mergeCell ref="A17:D17"/>
    <mergeCell ref="A13:D13"/>
    <mergeCell ref="A14:D14"/>
    <mergeCell ref="A20:D20"/>
    <mergeCell ref="A16:D16"/>
    <mergeCell ref="A10:D10"/>
    <mergeCell ref="A11:D11"/>
    <mergeCell ref="A12:D12"/>
    <mergeCell ref="A9:D9"/>
    <mergeCell ref="A36:D36"/>
    <mergeCell ref="A23:D23"/>
    <mergeCell ref="A24:D24"/>
    <mergeCell ref="A31:D31"/>
    <mergeCell ref="A25:D25"/>
    <mergeCell ref="A26:D26"/>
    <mergeCell ref="A27:D27"/>
    <mergeCell ref="A28:D28"/>
    <mergeCell ref="A30:D30"/>
    <mergeCell ref="A35:D35"/>
    <mergeCell ref="A32:D32"/>
    <mergeCell ref="A33:D33"/>
    <mergeCell ref="A29:D29"/>
  </mergeCells>
  <pageMargins left="0.7" right="0.7" top="0.75" bottom="0.75" header="0.3" footer="0.3"/>
  <pageSetup paperSize="9" scale="75" orientation="portrait" verticalDpi="180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46"/>
  <sheetViews>
    <sheetView topLeftCell="A34" workbookViewId="0">
      <selection activeCell="E45" sqref="E45"/>
    </sheetView>
  </sheetViews>
  <sheetFormatPr defaultRowHeight="14.4" x14ac:dyDescent="0.3"/>
  <cols>
    <col min="1" max="1" width="34.109375" customWidth="1"/>
    <col min="2" max="2" width="19.5546875" customWidth="1"/>
    <col min="3" max="3" width="18.21875" customWidth="1"/>
    <col min="4" max="4" width="15.5546875" customWidth="1"/>
    <col min="5" max="5" width="8.77734375" customWidth="1"/>
    <col min="6" max="6" width="12.6640625" customWidth="1"/>
  </cols>
  <sheetData>
    <row r="1" spans="1:6" ht="17.399999999999999" thickBot="1" x14ac:dyDescent="0.35">
      <c r="A1" s="28" t="s">
        <v>65</v>
      </c>
      <c r="B1" s="27"/>
      <c r="C1" s="27"/>
      <c r="D1" s="27"/>
      <c r="E1" s="27"/>
    </row>
    <row r="2" spans="1:6" ht="50.4" x14ac:dyDescent="0.3">
      <c r="A2" s="83" t="s">
        <v>64</v>
      </c>
      <c r="B2" s="32" t="s">
        <v>57</v>
      </c>
      <c r="C2" s="32" t="s">
        <v>82</v>
      </c>
      <c r="D2" s="85" t="s">
        <v>58</v>
      </c>
      <c r="E2" s="86"/>
      <c r="F2" s="86" t="s">
        <v>77</v>
      </c>
    </row>
    <row r="3" spans="1:6" ht="36.6" customHeight="1" x14ac:dyDescent="0.3">
      <c r="A3" s="84"/>
      <c r="B3" s="29" t="s">
        <v>56</v>
      </c>
      <c r="C3" s="29" t="s">
        <v>56</v>
      </c>
      <c r="D3" s="29" t="s">
        <v>56</v>
      </c>
      <c r="E3" s="33" t="s">
        <v>59</v>
      </c>
      <c r="F3" s="87"/>
    </row>
    <row r="4" spans="1:6" ht="71.400000000000006" customHeight="1" x14ac:dyDescent="0.3">
      <c r="A4" s="34" t="s">
        <v>60</v>
      </c>
      <c r="B4" s="30">
        <v>8.3258700000000001</v>
      </c>
      <c r="C4" s="30">
        <v>13.467040000000001</v>
      </c>
      <c r="D4" s="30">
        <f>C4-B4</f>
        <v>5.1411700000000007</v>
      </c>
      <c r="E4" s="35">
        <v>61.75</v>
      </c>
      <c r="F4" s="35">
        <v>1.62</v>
      </c>
    </row>
    <row r="5" spans="1:6" ht="67.2" x14ac:dyDescent="0.3">
      <c r="A5" s="34" t="s">
        <v>61</v>
      </c>
      <c r="B5" s="30">
        <v>7.9645200000000003</v>
      </c>
      <c r="C5" s="30">
        <v>11.451180000000001</v>
      </c>
      <c r="D5" s="30">
        <f>C5-B5</f>
        <v>3.4866600000000005</v>
      </c>
      <c r="E5" s="36">
        <v>43.78</v>
      </c>
      <c r="F5" s="36">
        <v>1.44</v>
      </c>
    </row>
    <row r="6" spans="1:6" ht="34.200000000000003" thickBot="1" x14ac:dyDescent="0.35">
      <c r="A6" s="37" t="s">
        <v>62</v>
      </c>
      <c r="B6" s="38">
        <v>44.99</v>
      </c>
      <c r="C6" s="38">
        <v>73.325000000000003</v>
      </c>
      <c r="D6" s="92">
        <f>C6-B6</f>
        <v>28.335000000000001</v>
      </c>
      <c r="E6" s="58">
        <v>62.98</v>
      </c>
      <c r="F6" s="39">
        <v>1.63</v>
      </c>
    </row>
    <row r="7" spans="1:6" ht="52.2" customHeight="1" thickBot="1" x14ac:dyDescent="0.35">
      <c r="A7" s="37" t="s">
        <v>81</v>
      </c>
      <c r="B7" s="40">
        <v>1700</v>
      </c>
      <c r="C7" s="40">
        <v>1950</v>
      </c>
      <c r="D7" s="40">
        <v>250</v>
      </c>
      <c r="E7" s="58">
        <v>14.71</v>
      </c>
      <c r="F7" s="58">
        <v>1.1499999999999999</v>
      </c>
    </row>
    <row r="8" spans="1:6" ht="16.8" x14ac:dyDescent="0.3">
      <c r="A8" s="27"/>
      <c r="B8" s="27"/>
      <c r="C8" s="27"/>
      <c r="D8" s="27"/>
      <c r="E8" s="27"/>
    </row>
    <row r="9" spans="1:6" ht="40.799999999999997" customHeight="1" x14ac:dyDescent="0.3">
      <c r="A9" s="90" t="s">
        <v>73</v>
      </c>
      <c r="B9" s="91"/>
      <c r="C9" s="91"/>
      <c r="D9" s="91"/>
      <c r="E9" s="91"/>
    </row>
    <row r="10" spans="1:6" ht="46.2" customHeight="1" x14ac:dyDescent="0.3"/>
    <row r="11" spans="1:6" ht="18" x14ac:dyDescent="0.3">
      <c r="A11" s="47"/>
    </row>
    <row r="12" spans="1:6" ht="25.8" customHeight="1" x14ac:dyDescent="0.3">
      <c r="A12" s="90" t="s">
        <v>74</v>
      </c>
      <c r="B12" s="91"/>
      <c r="C12" s="91"/>
      <c r="D12" s="91"/>
    </row>
    <row r="13" spans="1:6" ht="22.8" customHeight="1" x14ac:dyDescent="0.3">
      <c r="A13" s="90" t="s">
        <v>75</v>
      </c>
      <c r="B13" s="91"/>
      <c r="C13" s="91"/>
      <c r="D13" s="91"/>
    </row>
    <row r="14" spans="1:6" ht="40.200000000000003" customHeight="1" x14ac:dyDescent="0.3">
      <c r="A14" s="90" t="s">
        <v>76</v>
      </c>
      <c r="B14" s="91"/>
      <c r="C14" s="91"/>
      <c r="D14" s="91"/>
    </row>
    <row r="18" spans="1:6" ht="17.399999999999999" thickBot="1" x14ac:dyDescent="0.35">
      <c r="A18" s="28" t="s">
        <v>65</v>
      </c>
      <c r="B18" s="27"/>
      <c r="C18" s="27"/>
      <c r="D18" s="27"/>
      <c r="E18" s="27"/>
    </row>
    <row r="19" spans="1:6" ht="50.4" x14ac:dyDescent="0.3">
      <c r="A19" s="83" t="s">
        <v>64</v>
      </c>
      <c r="B19" s="41" t="s">
        <v>57</v>
      </c>
      <c r="C19" s="41" t="s">
        <v>82</v>
      </c>
      <c r="D19" s="85" t="s">
        <v>58</v>
      </c>
      <c r="E19" s="86"/>
      <c r="F19" s="88"/>
    </row>
    <row r="20" spans="1:6" ht="16.8" x14ac:dyDescent="0.3">
      <c r="A20" s="84"/>
      <c r="B20" s="29" t="s">
        <v>56</v>
      </c>
      <c r="C20" s="29" t="s">
        <v>56</v>
      </c>
      <c r="D20" s="29" t="s">
        <v>56</v>
      </c>
      <c r="E20" s="33" t="s">
        <v>59</v>
      </c>
      <c r="F20" s="89"/>
    </row>
    <row r="21" spans="1:6" ht="50.4" x14ac:dyDescent="0.3">
      <c r="A21" s="34" t="s">
        <v>67</v>
      </c>
      <c r="B21" s="31">
        <v>66606.960000000006</v>
      </c>
      <c r="C21" s="31">
        <v>107736.32000000001</v>
      </c>
      <c r="D21" s="31">
        <f>C21-B21</f>
        <v>41129.360000000001</v>
      </c>
      <c r="E21" s="35">
        <v>61.75</v>
      </c>
      <c r="F21" s="48"/>
    </row>
    <row r="22" spans="1:6" ht="67.2" x14ac:dyDescent="0.3">
      <c r="A22" s="34" t="s">
        <v>68</v>
      </c>
      <c r="B22" s="31">
        <v>135000</v>
      </c>
      <c r="C22" s="31">
        <v>194103</v>
      </c>
      <c r="D22" s="31">
        <f>C22-B22</f>
        <v>59103</v>
      </c>
      <c r="E22" s="35">
        <v>43.78</v>
      </c>
      <c r="F22" s="49"/>
    </row>
    <row r="23" spans="1:6" ht="50.4" x14ac:dyDescent="0.3">
      <c r="A23" s="34" t="s">
        <v>83</v>
      </c>
      <c r="B23" s="59">
        <v>78000</v>
      </c>
      <c r="C23" s="59">
        <v>112148</v>
      </c>
      <c r="D23" s="31">
        <f>C23-B23</f>
        <v>34148</v>
      </c>
      <c r="E23" s="60">
        <v>43.78</v>
      </c>
      <c r="F23" s="49"/>
    </row>
    <row r="24" spans="1:6" ht="34.200000000000003" thickBot="1" x14ac:dyDescent="0.35">
      <c r="A24" s="37" t="s">
        <v>69</v>
      </c>
      <c r="B24" s="40">
        <f>449056.76+446857.56</f>
        <v>895914.32000000007</v>
      </c>
      <c r="C24" s="40">
        <f>731848.03+728263.9</f>
        <v>1460111.9300000002</v>
      </c>
      <c r="D24" s="40">
        <f>C24-B24</f>
        <v>564197.6100000001</v>
      </c>
      <c r="E24" s="58">
        <v>62.97</v>
      </c>
      <c r="F24" s="49"/>
    </row>
    <row r="25" spans="1:6" ht="51" thickBot="1" x14ac:dyDescent="0.35">
      <c r="A25" s="37" t="s">
        <v>81</v>
      </c>
      <c r="B25" s="40">
        <v>1856400</v>
      </c>
      <c r="C25" s="40">
        <v>2129400</v>
      </c>
      <c r="D25" s="40">
        <v>273000</v>
      </c>
      <c r="E25" s="39">
        <v>14.71</v>
      </c>
      <c r="F25" s="49"/>
    </row>
    <row r="26" spans="1:6" ht="16.8" x14ac:dyDescent="0.3">
      <c r="A26" s="27"/>
      <c r="B26" s="27"/>
      <c r="C26" s="27"/>
      <c r="D26" s="27"/>
      <c r="E26" s="27"/>
    </row>
    <row r="27" spans="1:6" ht="16.8" x14ac:dyDescent="0.3">
      <c r="A27" s="27" t="s">
        <v>66</v>
      </c>
      <c r="B27" s="27"/>
      <c r="C27" s="27"/>
      <c r="D27" s="27"/>
      <c r="E27" s="27"/>
    </row>
    <row r="39" spans="1:5" ht="24.6" customHeight="1" thickBot="1" x14ac:dyDescent="0.35">
      <c r="A39" s="52" t="s">
        <v>78</v>
      </c>
      <c r="B39" s="27"/>
      <c r="C39" s="27"/>
      <c r="D39" s="27"/>
      <c r="E39" s="27"/>
    </row>
    <row r="40" spans="1:5" ht="50.4" x14ac:dyDescent="0.3">
      <c r="A40" s="83" t="s">
        <v>64</v>
      </c>
      <c r="B40" s="46" t="s">
        <v>57</v>
      </c>
      <c r="C40" s="46" t="s">
        <v>82</v>
      </c>
      <c r="D40" s="85" t="s">
        <v>58</v>
      </c>
      <c r="E40" s="86"/>
    </row>
    <row r="41" spans="1:5" ht="16.8" x14ac:dyDescent="0.3">
      <c r="A41" s="84"/>
      <c r="B41" s="29" t="s">
        <v>56</v>
      </c>
      <c r="C41" s="29" t="s">
        <v>56</v>
      </c>
      <c r="D41" s="29" t="s">
        <v>56</v>
      </c>
      <c r="E41" s="33" t="s">
        <v>59</v>
      </c>
    </row>
    <row r="42" spans="1:5" ht="22.8" customHeight="1" x14ac:dyDescent="0.3">
      <c r="A42" s="34" t="s">
        <v>22</v>
      </c>
      <c r="B42" s="31">
        <v>9101363.7799999993</v>
      </c>
      <c r="C42" s="31">
        <v>10013838.74</v>
      </c>
      <c r="D42" s="31">
        <f>C42-B42</f>
        <v>912474.96000000089</v>
      </c>
      <c r="E42" s="35">
        <v>10.029999999999999</v>
      </c>
    </row>
    <row r="43" spans="1:5" ht="23.4" customHeight="1" x14ac:dyDescent="0.3">
      <c r="A43" s="34" t="s">
        <v>79</v>
      </c>
      <c r="B43" s="31">
        <v>3804768.9</v>
      </c>
      <c r="C43" s="31">
        <v>3863871.9</v>
      </c>
      <c r="D43" s="31">
        <f>C43-B43</f>
        <v>59103</v>
      </c>
      <c r="E43" s="36">
        <v>1.55</v>
      </c>
    </row>
    <row r="44" spans="1:5" ht="24" customHeight="1" thickBot="1" x14ac:dyDescent="0.35">
      <c r="A44" s="50" t="s">
        <v>80</v>
      </c>
      <c r="B44" s="51">
        <v>12906132.68</v>
      </c>
      <c r="C44" s="51">
        <v>13877710.640000001</v>
      </c>
      <c r="D44" s="51">
        <f>C44-B44</f>
        <v>971577.96000000089</v>
      </c>
      <c r="E44" s="53">
        <v>7.53</v>
      </c>
    </row>
    <row r="45" spans="1:5" ht="16.8" x14ac:dyDescent="0.3">
      <c r="A45" s="27"/>
      <c r="B45" s="27"/>
      <c r="C45" s="27"/>
      <c r="D45" s="27"/>
      <c r="E45" s="27"/>
    </row>
    <row r="46" spans="1:5" ht="16.8" x14ac:dyDescent="0.3">
      <c r="A46" s="27" t="s">
        <v>66</v>
      </c>
      <c r="B46" s="27"/>
      <c r="C46" s="27"/>
      <c r="D46" s="27"/>
      <c r="E46" s="27"/>
    </row>
  </sheetData>
  <mergeCells count="12">
    <mergeCell ref="A40:A41"/>
    <mergeCell ref="D40:E40"/>
    <mergeCell ref="F2:F3"/>
    <mergeCell ref="A19:A20"/>
    <mergeCell ref="D19:E19"/>
    <mergeCell ref="F19:F20"/>
    <mergeCell ref="A12:D12"/>
    <mergeCell ref="A13:D13"/>
    <mergeCell ref="A14:D14"/>
    <mergeCell ref="A2:A3"/>
    <mergeCell ref="D2:E2"/>
    <mergeCell ref="A9:E9"/>
  </mergeCells>
  <pageMargins left="0.98425196850393704" right="0.39370078740157483" top="0.59055118110236227" bottom="0.59055118110236227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22860</xdr:colOff>
                <xdr:row>8</xdr:row>
                <xdr:rowOff>502920</xdr:rowOff>
              </from>
              <to>
                <xdr:col>2</xdr:col>
                <xdr:colOff>205740</xdr:colOff>
                <xdr:row>10</xdr:row>
                <xdr:rowOff>167640</xdr:rowOff>
              </to>
            </anchor>
          </objectPr>
        </oleObject>
      </mc:Choice>
      <mc:Fallback>
        <oleObject progId="Equation.3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калькуляція тарифу</vt:lpstr>
      <vt:lpstr>порівняльна таблиця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User_2</dc:creator>
  <cp:lastModifiedBy>Іра Форостина</cp:lastModifiedBy>
  <cp:lastPrinted>2026-04-01T08:49:18Z</cp:lastPrinted>
  <dcterms:created xsi:type="dcterms:W3CDTF">2024-11-27T11:36:11Z</dcterms:created>
  <dcterms:modified xsi:type="dcterms:W3CDTF">2026-04-01T08:49:46Z</dcterms:modified>
</cp:coreProperties>
</file>